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/>
  <c r="N17"/>
  <c r="N16"/>
  <c r="N15"/>
  <c r="M18"/>
  <c r="M17"/>
  <c r="M16"/>
  <c r="M15"/>
  <c r="L18"/>
  <c r="L17"/>
  <c r="L16"/>
  <c r="L15"/>
  <c r="K18"/>
  <c r="K17"/>
  <c r="K16"/>
  <c r="K15"/>
  <c r="J18"/>
  <c r="J17"/>
  <c r="J16"/>
  <c r="J15"/>
  <c r="I18"/>
  <c r="I17"/>
  <c r="I16"/>
  <c r="I15"/>
  <c r="H18"/>
  <c r="H17"/>
  <c r="H16"/>
  <c r="H15"/>
  <c r="G18"/>
  <c r="G17"/>
  <c r="G16"/>
  <c r="G15"/>
  <c r="F18"/>
  <c r="F17"/>
  <c r="F16"/>
  <c r="F15"/>
  <c r="E18"/>
  <c r="E17"/>
  <c r="E16"/>
  <c r="E15"/>
  <c r="D18"/>
  <c r="D17"/>
  <c r="D16"/>
  <c r="D15"/>
  <c r="C18"/>
  <c r="C17"/>
  <c r="C16"/>
  <c r="C15"/>
  <c r="B18"/>
  <c r="B17"/>
  <c r="B16"/>
  <c r="B15"/>
  <c r="K5"/>
  <c r="K4"/>
  <c r="K3"/>
  <c r="J5"/>
  <c r="J4"/>
  <c r="J3"/>
  <c r="I4"/>
  <c r="I5"/>
  <c r="I3"/>
  <c r="G6"/>
  <c r="G5"/>
  <c r="G4"/>
  <c r="G3"/>
  <c r="D4"/>
  <c r="D5"/>
  <c r="D6"/>
  <c r="D3"/>
  <c r="E6"/>
  <c r="E5"/>
  <c r="E4"/>
  <c r="E3"/>
</calcChain>
</file>

<file path=xl/sharedStrings.xml><?xml version="1.0" encoding="utf-8"?>
<sst xmlns="http://schemas.openxmlformats.org/spreadsheetml/2006/main" count="29" uniqueCount="23">
  <si>
    <t>Сохранить наследство</t>
  </si>
  <si>
    <t>Простые проценты</t>
  </si>
  <si>
    <t>Сложные проценты</t>
  </si>
  <si>
    <t>1 полугодие</t>
  </si>
  <si>
    <t>Итого</t>
  </si>
  <si>
    <t>Вклад</t>
  </si>
  <si>
    <t>Ставка</t>
  </si>
  <si>
    <t>Срок</t>
  </si>
  <si>
    <t>Сумма</t>
  </si>
  <si>
    <t>Период</t>
  </si>
  <si>
    <t>Количество периодов</t>
  </si>
  <si>
    <t xml:space="preserve">Новые ставки </t>
  </si>
  <si>
    <t>Месяц</t>
  </si>
  <si>
    <t>Квартал</t>
  </si>
  <si>
    <t>Полгода</t>
  </si>
  <si>
    <t>Год</t>
  </si>
  <si>
    <t>Ставка 2</t>
  </si>
  <si>
    <t>Ставка 3</t>
  </si>
  <si>
    <t>Ставка 4</t>
  </si>
  <si>
    <t>Число периодов накопления</t>
  </si>
  <si>
    <t>Сумма 2</t>
  </si>
  <si>
    <t>Сумма 3</t>
  </si>
  <si>
    <t>Сумма 4</t>
  </si>
</sst>
</file>

<file path=xl/styles.xml><?xml version="1.0" encoding="utf-8"?>
<styleSheet xmlns="http://schemas.openxmlformats.org/spreadsheetml/2006/main">
  <numFmts count="1">
    <numFmt numFmtId="8" formatCode="#,##0.00\ &quot;₽&quot;;[Red]\-#,##0.00\ &quot;₽&quot;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autoTitleDeleted val="1"/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Лист1!$C$15:$N$15</c:f>
              <c:numCache>
                <c:formatCode>#,##0.00\ "₽";[Red]\-#,##0.00\ "₽"</c:formatCode>
                <c:ptCount val="12"/>
                <c:pt idx="0">
                  <c:v>51249.999999999993</c:v>
                </c:pt>
                <c:pt idx="1">
                  <c:v>52531.249999999993</c:v>
                </c:pt>
                <c:pt idx="2">
                  <c:v>53844.531249999993</c:v>
                </c:pt>
                <c:pt idx="3">
                  <c:v>55190.644531249985</c:v>
                </c:pt>
                <c:pt idx="4">
                  <c:v>56570.410644531235</c:v>
                </c:pt>
                <c:pt idx="5">
                  <c:v>57984.670910644512</c:v>
                </c:pt>
                <c:pt idx="6">
                  <c:v>59434.287683410628</c:v>
                </c:pt>
                <c:pt idx="7">
                  <c:v>60920.144875495884</c:v>
                </c:pt>
                <c:pt idx="8">
                  <c:v>62443.14849738327</c:v>
                </c:pt>
                <c:pt idx="9">
                  <c:v>64004.227209817851</c:v>
                </c:pt>
                <c:pt idx="10">
                  <c:v>65604.332890063306</c:v>
                </c:pt>
                <c:pt idx="11">
                  <c:v>67244.44121231488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7-4C83-9DC2-7567ED1520CD}"/>
            </c:ext>
          </c:extLst>
        </c:ser>
        <c:ser>
          <c:idx val="1"/>
          <c:order val="1"/>
          <c:marker>
            <c:symbol val="none"/>
          </c:marker>
          <c:cat>
            <c:numRef>
              <c:f>Лист1!$C$14:$N$14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Лист1!$C$16:$N$16</c:f>
              <c:numCache>
                <c:formatCode>#,##0.00\ "₽";[Red]\-#,##0.00\ "₽"</c:formatCode>
                <c:ptCount val="12"/>
                <c:pt idx="0">
                  <c:v>52000</c:v>
                </c:pt>
                <c:pt idx="1">
                  <c:v>54080.000000000007</c:v>
                </c:pt>
                <c:pt idx="2">
                  <c:v>56243.200000000004</c:v>
                </c:pt>
                <c:pt idx="3">
                  <c:v>58492.928000000007</c:v>
                </c:pt>
                <c:pt idx="4">
                  <c:v>60832.645120000016</c:v>
                </c:pt>
                <c:pt idx="5">
                  <c:v>63265.950924800018</c:v>
                </c:pt>
                <c:pt idx="6">
                  <c:v>65796.588961792018</c:v>
                </c:pt>
                <c:pt idx="7">
                  <c:v>68428.452520263701</c:v>
                </c:pt>
                <c:pt idx="8">
                  <c:v>71165.590621074254</c:v>
                </c:pt>
                <c:pt idx="9">
                  <c:v>74012.214245917232</c:v>
                </c:pt>
                <c:pt idx="10">
                  <c:v>76972.702815753917</c:v>
                </c:pt>
                <c:pt idx="11">
                  <c:v>80051.610928384092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D7-4C83-9DC2-7567ED1520CD}"/>
            </c:ext>
          </c:extLst>
        </c:ser>
        <c:ser>
          <c:idx val="2"/>
          <c:order val="2"/>
          <c:marker>
            <c:symbol val="none"/>
          </c:marker>
          <c:cat>
            <c:numRef>
              <c:f>Лист1!$C$14:$N$14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Лист1!$C$17:$N$17</c:f>
              <c:numCache>
                <c:formatCode>#,##0.00\ "₽";[Red]\-#,##0.00\ "₽"</c:formatCode>
                <c:ptCount val="12"/>
                <c:pt idx="0">
                  <c:v>52750</c:v>
                </c:pt>
                <c:pt idx="1">
                  <c:v>55651.25</c:v>
                </c:pt>
                <c:pt idx="2">
                  <c:v>58712.068749999991</c:v>
                </c:pt>
                <c:pt idx="3">
                  <c:v>61941.232531249989</c:v>
                </c:pt>
                <c:pt idx="4">
                  <c:v>65348.000320468738</c:v>
                </c:pt>
                <c:pt idx="5">
                  <c:v>68942.140338094512</c:v>
                </c:pt>
                <c:pt idx="6">
                  <c:v>72733.958056689706</c:v>
                </c:pt>
                <c:pt idx="7">
                  <c:v>76734.325749807642</c:v>
                </c:pt>
                <c:pt idx="8">
                  <c:v>80954.713666047057</c:v>
                </c:pt>
                <c:pt idx="9">
                  <c:v>85407.222917679654</c:v>
                </c:pt>
                <c:pt idx="10">
                  <c:v>90104.620178152021</c:v>
                </c:pt>
                <c:pt idx="11">
                  <c:v>95060.374287950384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D7-4C83-9DC2-7567ED1520CD}"/>
            </c:ext>
          </c:extLst>
        </c:ser>
        <c:ser>
          <c:idx val="3"/>
          <c:order val="3"/>
          <c:marker>
            <c:symbol val="none"/>
          </c:marker>
          <c:cat>
            <c:numRef>
              <c:f>Лист1!$C$14:$N$14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Лист1!$C$18:$N$18</c:f>
              <c:numCache>
                <c:formatCode>#,##0.00\ "₽";[Red]\-#,##0.00\ "₽"</c:formatCode>
                <c:ptCount val="12"/>
                <c:pt idx="0">
                  <c:v>53500</c:v>
                </c:pt>
                <c:pt idx="1">
                  <c:v>57245</c:v>
                </c:pt>
                <c:pt idx="2">
                  <c:v>61252.150000000009</c:v>
                </c:pt>
                <c:pt idx="3">
                  <c:v>65539.800499999998</c:v>
                </c:pt>
                <c:pt idx="4">
                  <c:v>70127.586535000009</c:v>
                </c:pt>
                <c:pt idx="5">
                  <c:v>75036.517592450007</c:v>
                </c:pt>
                <c:pt idx="6">
                  <c:v>80289.073823921513</c:v>
                </c:pt>
                <c:pt idx="7">
                  <c:v>85909.308991596015</c:v>
                </c:pt>
                <c:pt idx="8">
                  <c:v>91922.960621007747</c:v>
                </c:pt>
                <c:pt idx="9">
                  <c:v>98357.567864478275</c:v>
                </c:pt>
                <c:pt idx="10">
                  <c:v>105242.59761499177</c:v>
                </c:pt>
                <c:pt idx="11">
                  <c:v>112609.57944804117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D7-4C83-9DC2-7567ED1520CD}"/>
            </c:ext>
          </c:extLst>
        </c:ser>
        <c:marker val="1"/>
        <c:axId val="139602944"/>
        <c:axId val="139617024"/>
      </c:lineChart>
      <c:catAx>
        <c:axId val="139602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9617024"/>
        <c:crosses val="autoZero"/>
        <c:auto val="1"/>
        <c:lblAlgn val="ctr"/>
        <c:lblOffset val="100"/>
      </c:catAx>
      <c:valAx>
        <c:axId val="139617024"/>
        <c:scaling>
          <c:orientation val="minMax"/>
        </c:scaling>
        <c:axPos val="l"/>
        <c:majorGridlines/>
        <c:numFmt formatCode="#,##0.00\ &quot;₽&quot;;[Red]\-#,##0.00\ &quot;₽&quot;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9602944"/>
        <c:crosses val="autoZero"/>
        <c:crossBetween val="between"/>
      </c:valAx>
    </c:plotArea>
    <c:legend>
      <c:legendPos val="b"/>
      <c:layout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66675</xdr:rowOff>
    </xdr:from>
    <xdr:to>
      <xdr:col>8</xdr:col>
      <xdr:colOff>800100</xdr:colOff>
      <xdr:row>35</xdr:row>
      <xdr:rowOff>66675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160DE90-F65F-404A-B168-90F401E82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J21" sqref="J21"/>
    </sheetView>
  </sheetViews>
  <sheetFormatPr defaultRowHeight="15"/>
  <cols>
    <col min="2" max="2" width="13.140625" bestFit="1" customWidth="1"/>
    <col min="3" max="3" width="11.85546875" bestFit="1" customWidth="1"/>
    <col min="4" max="4" width="16.140625" customWidth="1"/>
    <col min="5" max="6" width="12.28515625" customWidth="1"/>
    <col min="7" max="7" width="12.85546875" customWidth="1"/>
    <col min="8" max="8" width="11.85546875" bestFit="1" customWidth="1"/>
    <col min="9" max="9" width="13" customWidth="1"/>
    <col min="10" max="10" width="13.42578125" customWidth="1"/>
    <col min="11" max="12" width="11.85546875" bestFit="1" customWidth="1"/>
    <col min="13" max="14" width="13.140625" bestFit="1" customWidth="1"/>
  </cols>
  <sheetData>
    <row r="1" spans="1:14" ht="30" customHeight="1">
      <c r="A1" s="11" t="s">
        <v>0</v>
      </c>
      <c r="B1" s="11"/>
      <c r="C1" s="11"/>
      <c r="D1" s="2" t="s">
        <v>1</v>
      </c>
      <c r="E1" s="2" t="s">
        <v>2</v>
      </c>
      <c r="F1" s="3"/>
      <c r="G1" s="3"/>
      <c r="H1" s="3"/>
      <c r="I1" s="2" t="s">
        <v>1</v>
      </c>
      <c r="J1" s="11" t="s">
        <v>2</v>
      </c>
      <c r="K1" s="11"/>
    </row>
    <row r="2" spans="1:14" ht="30" customHeight="1">
      <c r="A2" s="3" t="s">
        <v>5</v>
      </c>
      <c r="B2" s="3" t="s">
        <v>6</v>
      </c>
      <c r="C2" s="3" t="s">
        <v>7</v>
      </c>
      <c r="D2" s="11" t="s">
        <v>8</v>
      </c>
      <c r="E2" s="11"/>
      <c r="F2" s="3" t="s">
        <v>9</v>
      </c>
      <c r="G2" s="2" t="s">
        <v>10</v>
      </c>
      <c r="H2" s="2" t="s">
        <v>11</v>
      </c>
      <c r="I2" s="3"/>
      <c r="J2" s="2" t="s">
        <v>3</v>
      </c>
      <c r="K2" s="3" t="s">
        <v>4</v>
      </c>
    </row>
    <row r="3" spans="1:14" ht="15.75">
      <c r="A3" s="3">
        <v>50000</v>
      </c>
      <c r="B3" s="6">
        <v>2.5000000000000001E-2</v>
      </c>
      <c r="C3" s="3">
        <v>12</v>
      </c>
      <c r="D3" s="5">
        <f>A$3*(1+C3*B3)</f>
        <v>65000</v>
      </c>
      <c r="E3" s="7">
        <f>FV(2.5%,12,0,-50000,0)</f>
        <v>67244.44121231488</v>
      </c>
      <c r="F3" s="3" t="s">
        <v>12</v>
      </c>
      <c r="G3" s="3">
        <f>ROUNDUP(NPER(2.5%,0,-50000,60000,0),0)</f>
        <v>8</v>
      </c>
      <c r="H3" s="4">
        <v>0.02</v>
      </c>
      <c r="I3" s="3">
        <f>$A$3*(1+C3/2*B3+C3/2*H3)</f>
        <v>63500</v>
      </c>
      <c r="J3" s="7">
        <f>FV(B3,C3/2, ,-$A$3)</f>
        <v>57984.670910644512</v>
      </c>
      <c r="K3" s="7">
        <f>FV(H3,C3/2, ,-I3)</f>
        <v>71511.31362326401</v>
      </c>
    </row>
    <row r="4" spans="1:14" ht="15.75">
      <c r="A4" s="3"/>
      <c r="B4" s="4">
        <v>0.08</v>
      </c>
      <c r="C4" s="3">
        <v>4</v>
      </c>
      <c r="D4" s="5">
        <f t="shared" ref="D4:D6" si="0">A$3*(1+C4*B4)</f>
        <v>66000</v>
      </c>
      <c r="E4" s="7">
        <f>FV(8%,4,0,-50000,0)</f>
        <v>68024.448000000019</v>
      </c>
      <c r="F4" s="3" t="s">
        <v>13</v>
      </c>
      <c r="G4" s="3">
        <f>ROUNDUP(NPER(8%,0,-50000,60000,0),0)</f>
        <v>3</v>
      </c>
      <c r="H4" s="6">
        <v>7.4999999999999997E-2</v>
      </c>
      <c r="I4" s="3">
        <f t="shared" ref="I4:I5" si="1">$A$3*(1+C4/2*B4+C4/2*H4)</f>
        <v>65499.999999999993</v>
      </c>
      <c r="J4" s="7">
        <f>FV(B4,C4/2, ,-$A$3)</f>
        <v>58320.000000000007</v>
      </c>
      <c r="K4" s="7">
        <f>FV(H4,C4/2, ,-J4)</f>
        <v>67396.05</v>
      </c>
    </row>
    <row r="5" spans="1:14" ht="15.75">
      <c r="A5" s="3"/>
      <c r="B5" s="4">
        <v>0.16</v>
      </c>
      <c r="C5" s="3">
        <v>2</v>
      </c>
      <c r="D5" s="5">
        <f t="shared" si="0"/>
        <v>66000</v>
      </c>
      <c r="E5" s="7">
        <f>FV(16%,2,0,-50000,0)</f>
        <v>67280</v>
      </c>
      <c r="F5" s="3" t="s">
        <v>14</v>
      </c>
      <c r="G5" s="3">
        <f>ROUNDUP(NPER(16%,0,-50000,60000,0),0)</f>
        <v>2</v>
      </c>
      <c r="H5" s="4">
        <v>0.15</v>
      </c>
      <c r="I5" s="3">
        <f t="shared" si="1"/>
        <v>65499.999999999993</v>
      </c>
      <c r="J5" s="7">
        <f>FV(B5,C5/2, ,-$A$3)</f>
        <v>57999.999999999993</v>
      </c>
      <c r="K5" s="7">
        <f>FV(H5,C5/2, ,-J5)</f>
        <v>66699.999999999985</v>
      </c>
    </row>
    <row r="6" spans="1:14" ht="15.75">
      <c r="A6" s="3"/>
      <c r="B6" s="4">
        <v>0.36</v>
      </c>
      <c r="C6" s="3">
        <v>1</v>
      </c>
      <c r="D6" s="5">
        <f t="shared" si="0"/>
        <v>68000</v>
      </c>
      <c r="E6" s="7">
        <f>FV(36%,1,0,-50000,0)</f>
        <v>68000</v>
      </c>
      <c r="F6" s="3" t="s">
        <v>15</v>
      </c>
      <c r="G6" s="3">
        <f>ROUNDUP(NPER(36%,0,-50000,60000,0),0)</f>
        <v>1</v>
      </c>
      <c r="H6" s="3"/>
      <c r="I6" s="3"/>
      <c r="J6" s="3"/>
      <c r="K6" s="3"/>
    </row>
    <row r="10" spans="1:14" ht="15.75">
      <c r="A10" s="1"/>
      <c r="B10" s="1"/>
      <c r="C10" s="1"/>
      <c r="D10" s="1" t="s">
        <v>16</v>
      </c>
      <c r="E10" s="1" t="s">
        <v>17</v>
      </c>
      <c r="F10" s="1" t="s">
        <v>18</v>
      </c>
      <c r="G10" s="1"/>
      <c r="H10" s="1"/>
      <c r="I10" s="1"/>
      <c r="J10" s="1"/>
      <c r="K10" s="1"/>
      <c r="L10" s="1"/>
      <c r="M10" s="1"/>
      <c r="N10" s="1"/>
    </row>
    <row r="11" spans="1:14" ht="15.75">
      <c r="A11" s="2" t="s">
        <v>5</v>
      </c>
      <c r="B11" s="2">
        <v>50000</v>
      </c>
      <c r="C11" s="2"/>
      <c r="D11" s="8">
        <v>0.04</v>
      </c>
      <c r="E11" s="9">
        <v>5.5E-2</v>
      </c>
      <c r="F11" s="8">
        <v>7.0000000000000007E-2</v>
      </c>
      <c r="G11" s="2"/>
      <c r="H11" s="2"/>
      <c r="I11" s="2"/>
      <c r="J11" s="2"/>
      <c r="K11" s="2"/>
      <c r="L11" s="2"/>
      <c r="M11" s="2"/>
      <c r="N11" s="2"/>
    </row>
    <row r="12" spans="1:14" ht="15.75">
      <c r="A12" s="2" t="s">
        <v>6</v>
      </c>
      <c r="B12" s="9">
        <v>2.5000000000000001E-2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>
      <c r="A13" s="2" t="s">
        <v>7</v>
      </c>
      <c r="B13" s="2">
        <v>12</v>
      </c>
      <c r="C13" s="12" t="s">
        <v>19</v>
      </c>
      <c r="D13" s="13"/>
      <c r="E13" s="14"/>
      <c r="F13" s="2"/>
      <c r="G13" s="2"/>
      <c r="H13" s="2"/>
      <c r="I13" s="2"/>
      <c r="J13" s="2"/>
      <c r="K13" s="2"/>
      <c r="L13" s="2"/>
      <c r="M13" s="2"/>
      <c r="N13" s="2"/>
    </row>
    <row r="14" spans="1:14" ht="15.75">
      <c r="A14" s="2"/>
      <c r="B14" s="2"/>
      <c r="C14" s="2">
        <v>1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2">
        <v>8</v>
      </c>
      <c r="K14" s="2">
        <v>9</v>
      </c>
      <c r="L14" s="2">
        <v>10</v>
      </c>
      <c r="M14" s="2">
        <v>11</v>
      </c>
      <c r="N14" s="2">
        <v>12</v>
      </c>
    </row>
    <row r="15" spans="1:14" ht="15.75">
      <c r="A15" s="2" t="s">
        <v>8</v>
      </c>
      <c r="B15" s="10">
        <f>FV(2.5%,12,0,-50000,0)</f>
        <v>67244.44121231488</v>
      </c>
      <c r="C15" s="10">
        <f>FV(2.5%,1,0,-50000,0)</f>
        <v>51249.999999999993</v>
      </c>
      <c r="D15" s="10">
        <f>FV(2.5%,2,0,-50000,0)</f>
        <v>52531.249999999993</v>
      </c>
      <c r="E15" s="10">
        <f>FV(2.5%,3,0,-50000,0)</f>
        <v>53844.531249999993</v>
      </c>
      <c r="F15" s="10">
        <f>FV(2.5%,4,0,-50000,0)</f>
        <v>55190.644531249985</v>
      </c>
      <c r="G15" s="10">
        <f>FV(2.5%,5,0,-50000,0)</f>
        <v>56570.410644531235</v>
      </c>
      <c r="H15" s="10">
        <f>FV(2.5%,6,0,-50000,0)</f>
        <v>57984.670910644512</v>
      </c>
      <c r="I15" s="10">
        <f>FV(2.5%,7,0,-50000,0)</f>
        <v>59434.287683410628</v>
      </c>
      <c r="J15" s="10">
        <f>FV(2.5%,8,0,-50000,0)</f>
        <v>60920.144875495884</v>
      </c>
      <c r="K15" s="10">
        <f>FV(2.5%,9,0,-50000,0)</f>
        <v>62443.14849738327</v>
      </c>
      <c r="L15" s="10">
        <f>FV(2.5%,10,0,-50000,0)</f>
        <v>64004.227209817851</v>
      </c>
      <c r="M15" s="10">
        <f>FV(2.5%,11,0,-50000,0)</f>
        <v>65604.332890063306</v>
      </c>
      <c r="N15" s="10">
        <f>FV(2.5%,12,0,-50000,0)</f>
        <v>67244.44121231488</v>
      </c>
    </row>
    <row r="16" spans="1:14" ht="15.75">
      <c r="A16" s="2" t="s">
        <v>20</v>
      </c>
      <c r="B16" s="10">
        <f>FV(4%,12,0,-50000,0)</f>
        <v>80051.610928384092</v>
      </c>
      <c r="C16" s="10">
        <f>FV(4%,1,0,-50000,0)</f>
        <v>52000</v>
      </c>
      <c r="D16" s="10">
        <f>FV(4%,2,0,-50000,0)</f>
        <v>54080.000000000007</v>
      </c>
      <c r="E16" s="10">
        <f>FV(4%,3,0,-50000,0)</f>
        <v>56243.200000000004</v>
      </c>
      <c r="F16" s="10">
        <f>FV(4%,4,0,-50000,0)</f>
        <v>58492.928000000007</v>
      </c>
      <c r="G16" s="10">
        <f>FV(4%,5,0,-50000,0)</f>
        <v>60832.645120000016</v>
      </c>
      <c r="H16" s="10">
        <f>FV(4%,6,0,-50000,0)</f>
        <v>63265.950924800018</v>
      </c>
      <c r="I16" s="10">
        <f>FV(4%,7,0,-50000,0)</f>
        <v>65796.588961792018</v>
      </c>
      <c r="J16" s="10">
        <f>FV(4%,8,0,-50000,0)</f>
        <v>68428.452520263701</v>
      </c>
      <c r="K16" s="10">
        <f>FV(4%,9,0,-50000,0)</f>
        <v>71165.590621074254</v>
      </c>
      <c r="L16" s="10">
        <f>FV(4%,10,0,-50000,0)</f>
        <v>74012.214245917232</v>
      </c>
      <c r="M16" s="10">
        <f>FV(4%,11,0,-50000,0)</f>
        <v>76972.702815753917</v>
      </c>
      <c r="N16" s="10">
        <f>FV(4%,12,0,-50000,0)</f>
        <v>80051.610928384092</v>
      </c>
    </row>
    <row r="17" spans="1:14" ht="15.75">
      <c r="A17" s="2" t="s">
        <v>21</v>
      </c>
      <c r="B17" s="10">
        <f>FV(5.5%,12,0,-50000,0)</f>
        <v>95060.374287950384</v>
      </c>
      <c r="C17" s="10">
        <f>FV(5.5%,1,0,-50000,0)</f>
        <v>52750</v>
      </c>
      <c r="D17" s="10">
        <f>FV(5.5%,2,0,-50000,0)</f>
        <v>55651.25</v>
      </c>
      <c r="E17" s="10">
        <f>FV(5.5%,3,0,-50000,0)</f>
        <v>58712.068749999991</v>
      </c>
      <c r="F17" s="10">
        <f>FV(5.5%,4,0,-50000,0)</f>
        <v>61941.232531249989</v>
      </c>
      <c r="G17" s="10">
        <f>FV(5.5%,5,0,-50000,0)</f>
        <v>65348.000320468738</v>
      </c>
      <c r="H17" s="10">
        <f>FV(5.5%,6,0,-50000,0)</f>
        <v>68942.140338094512</v>
      </c>
      <c r="I17" s="10">
        <f>FV(5.5%,7,0,-50000,0)</f>
        <v>72733.958056689706</v>
      </c>
      <c r="J17" s="10">
        <f>FV(5.5%,8,0,-50000,0)</f>
        <v>76734.325749807642</v>
      </c>
      <c r="K17" s="10">
        <f>FV(5.5%,9,0,-50000,0)</f>
        <v>80954.713666047057</v>
      </c>
      <c r="L17" s="10">
        <f>FV(5.5%,10,0,-50000,0)</f>
        <v>85407.222917679654</v>
      </c>
      <c r="M17" s="10">
        <f>FV(5.5%,11,0,-50000,0)</f>
        <v>90104.620178152021</v>
      </c>
      <c r="N17" s="10">
        <f>FV(5.5%,12,0,-50000,0)</f>
        <v>95060.374287950384</v>
      </c>
    </row>
    <row r="18" spans="1:14" ht="15.75">
      <c r="A18" s="2" t="s">
        <v>22</v>
      </c>
      <c r="B18" s="10">
        <f>FV(7%,12,0,-50000,0)</f>
        <v>112609.57944804117</v>
      </c>
      <c r="C18" s="10">
        <f>FV(7%,1,0,-50000,0)</f>
        <v>53500</v>
      </c>
      <c r="D18" s="10">
        <f>FV(7%,2,0,-50000,0)</f>
        <v>57245</v>
      </c>
      <c r="E18" s="10">
        <f>FV(7%,3,0,-50000,0)</f>
        <v>61252.150000000009</v>
      </c>
      <c r="F18" s="10">
        <f>FV(7%,4,0,-50000,0)</f>
        <v>65539.800499999998</v>
      </c>
      <c r="G18" s="10">
        <f>FV(7%,5,0,-50000,0)</f>
        <v>70127.586535000009</v>
      </c>
      <c r="H18" s="10">
        <f>FV(7%,6,0,-50000,0)</f>
        <v>75036.517592450007</v>
      </c>
      <c r="I18" s="10">
        <f>FV(7%,7,0,-50000,0)</f>
        <v>80289.073823921513</v>
      </c>
      <c r="J18" s="10">
        <f>FV(7%,8,0,-50000,0)</f>
        <v>85909.308991596015</v>
      </c>
      <c r="K18" s="10">
        <f>FV(7%,9,0,-50000,0)</f>
        <v>91922.960621007747</v>
      </c>
      <c r="L18" s="10">
        <f>FV(7%,10,0,-50000,0)</f>
        <v>98357.567864478275</v>
      </c>
      <c r="M18" s="10">
        <f>FV(7%,11,0,-50000,0)</f>
        <v>105242.59761499177</v>
      </c>
      <c r="N18" s="10">
        <f>FV(7%,12,0,-50000,0)</f>
        <v>112609.57944804117</v>
      </c>
    </row>
  </sheetData>
  <mergeCells count="4">
    <mergeCell ref="A1:C1"/>
    <mergeCell ref="J1:K1"/>
    <mergeCell ref="D2:E2"/>
    <mergeCell ref="C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2020-11-12T11:21:37Z</dcterms:created>
  <dcterms:modified xsi:type="dcterms:W3CDTF">2020-11-19T07:51:59Z</dcterms:modified>
</cp:coreProperties>
</file>